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<sst xmlns="http://schemas.openxmlformats.org/spreadsheetml/2006/main" count="1235" uniqueCount="291">
  <si>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</si>
  <si>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</si>
  <si>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</si>
  <si>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</si>
  <si>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</si>
  <si>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</si>
  <si>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</si>
  <si>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</si>
  <si>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</si>
  <si>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</si>
  <si>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</si>
  <si>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</si>
  <si>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</si>
  <si>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</si>
  <si>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</si>
  <si>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</si>
  <si>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</si>
  <si>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</si>
  <si>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</si>
  <si>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</si>
  <si>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</si>
  <si>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</si>
  <si>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</si>
  <si>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</si>
  <si>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</si>
  <si>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</si>
  <si>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</si>
  <si>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</si>
  <si>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</si>
  <si>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</si>
  <si>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</si>
  <si>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</si>
  <si>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</si>
  <si>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</si>
  <si>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</si>
  <si>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</si>
  <si>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</si>
  <si>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</si>
  <si>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</si>
  <si>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</si>
  <si>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</si>
  <si>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</si>
  <si>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</si>
  <si>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</si>
  <si>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</si>
  <si>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</si>
  <si>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</si>
  <si>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</si>
  <si>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</si>
  <si>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</si>
  <si>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</si>
  <si>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</si>
  <si>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</si>
  <si>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</si>
  <si>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</si>
  <si>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</si>
  <si>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</si>
  <si>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</si>
  <si>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</si>
  <si>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</si>
  <si>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</si>
  <si>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</si>
  <si>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</si>
  <si>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</si>
  <si>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</si>
  <si>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</si>
  <si>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</si>
  <si>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</si>
  <si>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</si>
  <si>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</si>
  <si>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</si>
  <si>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</si>
  <si>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</si>
  <si>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</si>
  <si>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</si>
  <si>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</si>
  <si>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</si>
  <si>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</si>
  <si>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</si>
  <si>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</si>
  <si>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</si>
  <si>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</si>
  <si>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</si>
  <si>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</si>
  <si>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</si>
  <si>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</si>
  <si>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</si>
  <si>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</si>
  <si>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</si>
  <si>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</si>
  <si>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</si>
  <si>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</si>
  <si>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</si>
  <si>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</si>
  <si>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</si>
  <si>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</si>
  <si>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</si>
  <si>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</si>
  <si>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</si>
  <si>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</si>
  <si>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</si>
  <si>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</si>
  <si>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</si>
  <si>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</si>
  <si>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</si>
  <si>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</si>
  <si>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</si>
  <si>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</si>
  <si>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</si>
  <si>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</si>
  <si>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</si>
  <si>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</si>
  <si>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</si>
  <si>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</si>
  <si>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</si>
  <si>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</si>
  <si>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</si>
  <si>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</si>
  <si>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</si>
  <si>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</si>
  <si>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</si>
  <si>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</si>
  <si>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</si>
  <si>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</si>
  <si>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</si>
  <si>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</si>
  <si>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</si>
  <si>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</si>
  <si>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</si>
  <si>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</si>
  <si>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</si>
  <si>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</si>
  <si>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</si>
  <si>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</si>
  <si>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</si>
  <si>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</si>
  <si>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</si>
  <si>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</si>
  <si>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</si>
  <si>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</si>
  <si>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</si>
  <si>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</si>
  <si>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</si>
  <si>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</si>
  <si>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</si>
  <si>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</si>
  <si>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</si>
  <si>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</si>
  <si>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</si>
  <si>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</si>
  <si>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</si>
  <si>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</si>
  <si>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</si>
  <si>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</si>
  <si>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</si>
  <si>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</si>
  <si>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</si>
  <si>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</si>
  <si>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</si>
  <si>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</si>
  <si>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</si>
  <si>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</si>
  <si>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</si>
  <si>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</si>
  <si>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</si>
  <si>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</si>
  <si>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</si>
  <si>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</si>
  <si>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</si>
  <si>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</si>
  <si>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</si>
  <si>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</si>
  <si>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</si>
  <si>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</si>
  <si>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</si>
  <si>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</si>
  <si>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</si>
  <si>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</si>
  <si>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</si>
  <si>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</si>
  <si>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</si>
  <si>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</si>
  <si>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</si>
  <si>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</si>
  <si>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</si>
  <si>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</si>
  <si>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</si>
  <si>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</si>
  <si>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</si>
  <si>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</si>
  <si>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</si>
  <si>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</si>
  <si>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</si>
  <si>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</si>
  <si>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</si>
  <si>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</si>
  <si>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</si>
  <si>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</si>
  <si>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</si>
  <si>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</si>
  <si>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</si>
  <si>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</si>
  <si>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</si>
  <si>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</si>
  <si>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</si>
  <si>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</si>
  <si>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</si>
  <si>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</si>
  <si>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</si>
  <si>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</si>
  <si>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</si>
  <si>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</si>
  <si>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</si>
  <si>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</si>
  <si>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</si>
  <si>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</si>
  <si>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</si>
  <si>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</si>
  <si>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</si>
  <si>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</si>
  <si>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</si>
  <si>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</si>
  <si>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</si>
  <si>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</si>
  <si>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</si>
  <si>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</si>
  <si>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</si>
  <si>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</si>
  <si>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</si>
  <si>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</si>
  <si>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</si>
  <si>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</si>
  <si>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</si>
  <si>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</si>
  <si>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</si>
  <si>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</si>
  <si>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</si>
  <si>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</si>
  <si>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</si>
  <si>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</si>
  <si>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</si>
  <si>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</si>
  <si>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</si>
  <si>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</si>
  <si>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</si>
  <si>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</si>
  <si>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</si>
  <si>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</si>
  <si>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</si>
  <si>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</si>
  <si>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</si>
  <si>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</si>
  <si>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</si>
  <si>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</si>
  <si>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</si>
  <si>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</si>
  <si>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</si>
  <si>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</si>
  <si>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</si>
  <si>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</si>
  <si>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</si>
  <si>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</si>
  <si>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</si>
  <si>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</si>
  <si>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</si>
  <si>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</si>
  <si>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</si>
  <si>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</si>
  <si>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</si>
  <si>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</si>
  <si>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</si>
  <si>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</si>
  <si>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</si>
  <si>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</si>
  <si>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</si>
  <si>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</si>
  <si>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</si>
  <si>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</si>
  <si>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</si>
  <si>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</si>
  <si>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</si>
  <si>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</si>
  <si>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</si>
  <si>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</si>
  <si>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</si>
  <si>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</si>
  <si>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</si>
  <si>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</si>
  <si>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</si>
  <si>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</si>
  <si>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23.07.15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</si>
</sst>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1" sqref="I81:I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289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261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285</v>
      </c>
      <c r="N3" s="258" t="s">
        <v>286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282</v>
      </c>
      <c r="F4" s="205" t="s">
        <v>116</v>
      </c>
      <c r="G4" s="207" t="s">
        <v>283</v>
      </c>
      <c r="H4" s="245" t="s">
        <v>284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290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46"/>
      <c r="I5" s="243"/>
      <c r="J5" s="239"/>
      <c r="K5" s="235" t="s">
        <v>287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328348.39999999997</v>
      </c>
      <c r="F8" s="18">
        <f>F9+F15+F18+F19+F20+F32+F17</f>
        <v>343170.68000000005</v>
      </c>
      <c r="G8" s="18">
        <f aca="true" t="shared" si="0" ref="G8:G54">F8-E8</f>
        <v>14822.280000000086</v>
      </c>
      <c r="H8" s="45">
        <f>F8/E8*100</f>
        <v>104.51419285125192</v>
      </c>
      <c r="I8" s="31">
        <f aca="true" t="shared" si="1" ref="I8:I54">F8-D8</f>
        <v>-174258.31999999995</v>
      </c>
      <c r="J8" s="31">
        <f aca="true" t="shared" si="2" ref="J8:J14">F8/D8*100</f>
        <v>66.3222741670838</v>
      </c>
      <c r="K8" s="18">
        <f>K9+K15+K18+K19+K20+K32</f>
        <v>65859.45400000003</v>
      </c>
      <c r="L8" s="18"/>
      <c r="M8" s="18">
        <f>M9+M15+M18+M19+M20+M32+M17</f>
        <v>46752</v>
      </c>
      <c r="N8" s="18">
        <f>N9+N15+N18+N19+N20+N32+N17</f>
        <v>38051.565</v>
      </c>
      <c r="O8" s="31">
        <f aca="true" t="shared" si="3" ref="O8:O54">N8-M8</f>
        <v>-8700.434999999998</v>
      </c>
      <c r="P8" s="31">
        <f>F8/M8*100</f>
        <v>734.023528405202</v>
      </c>
      <c r="Q8" s="31">
        <f>N8-33748.16</f>
        <v>4303.404999999999</v>
      </c>
      <c r="R8" s="125">
        <f>N8/33748.16</f>
        <v>1.1275152482387187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196433.64</v>
      </c>
      <c r="G9" s="43">
        <f t="shared" si="0"/>
        <v>8128.99000000002</v>
      </c>
      <c r="H9" s="35">
        <f aca="true" t="shared" si="4" ref="H9:H32">F9/E9*100</f>
        <v>104.31693534918018</v>
      </c>
      <c r="I9" s="50">
        <f t="shared" si="1"/>
        <v>-116256.35999999999</v>
      </c>
      <c r="J9" s="50">
        <f t="shared" si="2"/>
        <v>62.820569893504754</v>
      </c>
      <c r="K9" s="132">
        <f>F9-217885.62/75*60</f>
        <v>22125.14400000003</v>
      </c>
      <c r="L9" s="132">
        <f>F9/(217885.62/75*60)*100</f>
        <v>112.693095579231</v>
      </c>
      <c r="M9" s="35">
        <f>E9-червень!E9</f>
        <v>28146</v>
      </c>
      <c r="N9" s="35">
        <f>F9-червень!F9</f>
        <v>25053.920000000013</v>
      </c>
      <c r="O9" s="47">
        <f t="shared" si="3"/>
        <v>-3092.079999999987</v>
      </c>
      <c r="P9" s="50">
        <f aca="true" t="shared" si="5" ref="P9:P32">N9/M9*100</f>
        <v>89.0141405528317</v>
      </c>
      <c r="Q9" s="132">
        <f>N9-26568.11</f>
        <v>-1514.1899999999878</v>
      </c>
      <c r="R9" s="133">
        <f>N9/26568.11</f>
        <v>0.9430072368715732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173684.03</v>
      </c>
      <c r="G10" s="135">
        <f t="shared" si="0"/>
        <v>8453.779999999999</v>
      </c>
      <c r="H10" s="137">
        <f t="shared" si="4"/>
        <v>105.11636337777132</v>
      </c>
      <c r="I10" s="136">
        <f t="shared" si="1"/>
        <v>-66725.97</v>
      </c>
      <c r="J10" s="136">
        <f t="shared" si="2"/>
        <v>72.2449274156649</v>
      </c>
      <c r="K10" s="138">
        <f>F10-193695.6/75*60</f>
        <v>18727.54999999999</v>
      </c>
      <c r="L10" s="138">
        <f>F10/(193695.6/75*60)*100</f>
        <v>112.08568367066675</v>
      </c>
      <c r="M10" s="35">
        <f>E10-червень!E10</f>
        <v>23736</v>
      </c>
      <c r="N10" s="35">
        <f>F10-червень!F10</f>
        <v>21457.130000000005</v>
      </c>
      <c r="O10" s="138">
        <f t="shared" si="3"/>
        <v>-2278.8699999999953</v>
      </c>
      <c r="P10" s="136">
        <f t="shared" si="5"/>
        <v>90.39909841590834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10671.15</v>
      </c>
      <c r="G11" s="135">
        <f t="shared" si="0"/>
        <v>-2036.8500000000004</v>
      </c>
      <c r="H11" s="137">
        <f t="shared" si="4"/>
        <v>83.9719074598678</v>
      </c>
      <c r="I11" s="136">
        <f t="shared" si="1"/>
        <v>-13028.85</v>
      </c>
      <c r="J11" s="136">
        <f t="shared" si="2"/>
        <v>45.02594936708861</v>
      </c>
      <c r="K11" s="138">
        <f>F11-13818.75/75*60</f>
        <v>-383.85000000000036</v>
      </c>
      <c r="L11" s="138">
        <f>F11/(13818.75/75*60)*100</f>
        <v>96.52781546811397</v>
      </c>
      <c r="M11" s="35">
        <f>E11-червень!E11</f>
        <v>1920</v>
      </c>
      <c r="N11" s="35">
        <f>F11-червень!F11</f>
        <v>1458.0499999999993</v>
      </c>
      <c r="O11" s="138">
        <f t="shared" si="3"/>
        <v>-461.9500000000007</v>
      </c>
      <c r="P11" s="136">
        <f t="shared" si="5"/>
        <v>75.94010416666663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2963.28</v>
      </c>
      <c r="G12" s="135">
        <f t="shared" si="0"/>
        <v>134.2800000000002</v>
      </c>
      <c r="H12" s="137">
        <f t="shared" si="4"/>
        <v>104.74655355249205</v>
      </c>
      <c r="I12" s="136">
        <f t="shared" si="1"/>
        <v>-2836.72</v>
      </c>
      <c r="J12" s="136">
        <f t="shared" si="2"/>
        <v>51.09103448275862</v>
      </c>
      <c r="K12" s="138">
        <f>F12-4382.58/75*60</f>
        <v>-542.7839999999997</v>
      </c>
      <c r="L12" s="138">
        <f>F12/(4382.58*60)*100</f>
        <v>1.1269161087761093</v>
      </c>
      <c r="M12" s="35">
        <f>E12-червень!E12</f>
        <v>330</v>
      </c>
      <c r="N12" s="35">
        <f>F12-червень!F12</f>
        <v>370.75</v>
      </c>
      <c r="O12" s="138">
        <f t="shared" si="3"/>
        <v>40.75</v>
      </c>
      <c r="P12" s="136">
        <f t="shared" si="5"/>
        <v>112.34848484848486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3655.06</v>
      </c>
      <c r="G13" s="135">
        <f t="shared" si="0"/>
        <v>-1458.3399999999997</v>
      </c>
      <c r="H13" s="137">
        <f t="shared" si="4"/>
        <v>71.48003285485196</v>
      </c>
      <c r="I13" s="136">
        <f t="shared" si="1"/>
        <v>-4744.9400000000005</v>
      </c>
      <c r="J13" s="136">
        <f t="shared" si="2"/>
        <v>43.51261904761905</v>
      </c>
      <c r="K13" s="138">
        <f>F13-5960.54/75*60</f>
        <v>-1113.3719999999998</v>
      </c>
      <c r="L13" s="138">
        <f>F13/(5960.54/75*60)*100</f>
        <v>76.65119267717355</v>
      </c>
      <c r="M13" s="35">
        <f>E13-червень!E13</f>
        <v>1769.9999999999995</v>
      </c>
      <c r="N13" s="35">
        <f>F13-червень!F13</f>
        <v>871.6500000000001</v>
      </c>
      <c r="O13" s="138">
        <f t="shared" si="3"/>
        <v>-898.3499999999995</v>
      </c>
      <c r="P13" s="136">
        <f t="shared" si="5"/>
        <v>49.24576271186443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-795.26</v>
      </c>
      <c r="G15" s="43">
        <f t="shared" si="0"/>
        <v>-966.56</v>
      </c>
      <c r="H15" s="35"/>
      <c r="I15" s="50">
        <f t="shared" si="1"/>
        <v>-1295.26</v>
      </c>
      <c r="J15" s="50">
        <f>F15/D15*100</f>
        <v>-159.052</v>
      </c>
      <c r="K15" s="53">
        <f>F15-349.38</f>
        <v>-1144.6399999999999</v>
      </c>
      <c r="L15" s="53">
        <f>F15/349.38*100</f>
        <v>-227.62035605930504</v>
      </c>
      <c r="M15" s="35">
        <f>E15-червень!E15</f>
        <v>0</v>
      </c>
      <c r="N15" s="35">
        <f>F15-червень!F15</f>
        <v>62.879999999999995</v>
      </c>
      <c r="O15" s="47">
        <f t="shared" si="3"/>
        <v>62.879999999999995</v>
      </c>
      <c r="P15" s="50"/>
      <c r="Q15" s="50">
        <f>N15-358.81</f>
        <v>-295.93</v>
      </c>
      <c r="R15" s="126">
        <f>N15/358.81</f>
        <v>0.1752459518965469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-1292.64</v>
      </c>
      <c r="G16" s="135">
        <f t="shared" si="0"/>
        <v>-1292.64</v>
      </c>
      <c r="H16" s="137"/>
      <c r="I16" s="136">
        <f t="shared" si="1"/>
        <v>-1292.64</v>
      </c>
      <c r="J16" s="136"/>
      <c r="K16" s="138">
        <f>F16-850.64</f>
        <v>-2143.28</v>
      </c>
      <c r="L16" s="138">
        <f>F16/850.64*100</f>
        <v>-151.96087651650524</v>
      </c>
      <c r="M16" s="35">
        <f>E16-червень!E16</f>
        <v>0</v>
      </c>
      <c r="N16" s="35">
        <f>F16-червень!F16</f>
        <v>60.45999999999981</v>
      </c>
      <c r="O16" s="138">
        <f t="shared" si="3"/>
        <v>60.45999999999981</v>
      </c>
      <c r="P16" s="50"/>
      <c r="Q16" s="136">
        <f>N16-358.81</f>
        <v>-298.3500000000002</v>
      </c>
      <c r="R16" s="141">
        <f>N16/358.79</f>
        <v>0.1685108280609822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26222.75</v>
      </c>
      <c r="F19" s="168">
        <v>30740.36</v>
      </c>
      <c r="G19" s="43">
        <f t="shared" si="0"/>
        <v>4517.610000000001</v>
      </c>
      <c r="H19" s="35">
        <f t="shared" si="4"/>
        <v>117.22782698229591</v>
      </c>
      <c r="I19" s="50">
        <f t="shared" si="1"/>
        <v>790.3600000000006</v>
      </c>
      <c r="J19" s="178">
        <f>F19/D19*100</f>
        <v>102.63893155258765</v>
      </c>
      <c r="K19" s="179">
        <f>F19-0</f>
        <v>30740.36</v>
      </c>
      <c r="L19" s="180"/>
      <c r="M19" s="35">
        <f>E19-червень!E19</f>
        <v>2720</v>
      </c>
      <c r="N19" s="35">
        <f>F19-червень!F19</f>
        <v>623.8660000000018</v>
      </c>
      <c r="O19" s="47">
        <f t="shared" si="3"/>
        <v>-2096.133999999998</v>
      </c>
      <c r="P19" s="50">
        <f t="shared" si="5"/>
        <v>22.936250000000065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109634.7</v>
      </c>
      <c r="F20" s="169">
        <f>F21+F25+F27+F26</f>
        <v>112751.72</v>
      </c>
      <c r="G20" s="43">
        <f t="shared" si="0"/>
        <v>3117.020000000004</v>
      </c>
      <c r="H20" s="35">
        <f t="shared" si="4"/>
        <v>102.84309620950303</v>
      </c>
      <c r="I20" s="50">
        <f t="shared" si="1"/>
        <v>-54018.28</v>
      </c>
      <c r="J20" s="178">
        <f aca="true" t="shared" si="6" ref="J20:J46">F20/D20*100</f>
        <v>67.60911434910356</v>
      </c>
      <c r="K20" s="178">
        <f>K21+K25+K26+K27</f>
        <v>15409.83999999999</v>
      </c>
      <c r="L20" s="136"/>
      <c r="M20" s="35">
        <f>E20-червень!E20</f>
        <v>15878.800000000003</v>
      </c>
      <c r="N20" s="35">
        <f>F20-червень!F20</f>
        <v>12307.368999999992</v>
      </c>
      <c r="O20" s="47">
        <f t="shared" si="3"/>
        <v>-3571.4310000000114</v>
      </c>
      <c r="P20" s="50">
        <f t="shared" si="5"/>
        <v>77.50818071894595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57678.2</v>
      </c>
      <c r="F21" s="169">
        <f>F22+F23+F24</f>
        <v>59795.35</v>
      </c>
      <c r="G21" s="43">
        <f t="shared" si="0"/>
        <v>2117.1500000000015</v>
      </c>
      <c r="H21" s="35">
        <f t="shared" si="4"/>
        <v>103.67062425665156</v>
      </c>
      <c r="I21" s="50">
        <f t="shared" si="1"/>
        <v>-38404.65</v>
      </c>
      <c r="J21" s="178">
        <f t="shared" si="6"/>
        <v>60.89139511201629</v>
      </c>
      <c r="K21" s="178">
        <f>K22+K23+K24</f>
        <v>12434.089999999993</v>
      </c>
      <c r="L21" s="136"/>
      <c r="M21" s="35">
        <f>E21-червень!E21</f>
        <v>9321</v>
      </c>
      <c r="N21" s="35">
        <f>F21-червень!F21</f>
        <v>5038.033999999992</v>
      </c>
      <c r="O21" s="47">
        <f t="shared" si="3"/>
        <v>-4282.966000000008</v>
      </c>
      <c r="P21" s="50">
        <f t="shared" si="5"/>
        <v>54.050359403497396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579.2</v>
      </c>
      <c r="F22" s="144">
        <v>6367.52</v>
      </c>
      <c r="G22" s="135">
        <f t="shared" si="0"/>
        <v>5788.320000000001</v>
      </c>
      <c r="H22" s="137">
        <f t="shared" si="4"/>
        <v>1099.3646408839777</v>
      </c>
      <c r="I22" s="136">
        <f t="shared" si="1"/>
        <v>5367.52</v>
      </c>
      <c r="J22" s="136">
        <f t="shared" si="6"/>
        <v>636.7520000000001</v>
      </c>
      <c r="K22" s="136">
        <f>F22-259.1</f>
        <v>6108.42</v>
      </c>
      <c r="L22" s="136">
        <f>F22/259.1*100</f>
        <v>2457.5530683133925</v>
      </c>
      <c r="M22" s="35">
        <f>E22-червень!E22</f>
        <v>213.00000000000006</v>
      </c>
      <c r="N22" s="35">
        <f>F22-червень!F22</f>
        <v>1410.4170000000004</v>
      </c>
      <c r="O22" s="138">
        <f t="shared" si="3"/>
        <v>1197.4170000000004</v>
      </c>
      <c r="P22" s="136">
        <f t="shared" si="5"/>
        <v>662.1676056338029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550</v>
      </c>
      <c r="F23" s="144">
        <v>569.45</v>
      </c>
      <c r="G23" s="135">
        <f t="shared" si="0"/>
        <v>19.450000000000045</v>
      </c>
      <c r="H23" s="137"/>
      <c r="I23" s="136">
        <f t="shared" si="1"/>
        <v>-930.55</v>
      </c>
      <c r="J23" s="136">
        <f t="shared" si="6"/>
        <v>37.96333333333334</v>
      </c>
      <c r="K23" s="136">
        <f>F23-0</f>
        <v>569.45</v>
      </c>
      <c r="L23" s="136"/>
      <c r="M23" s="35">
        <f>E23-червень!E23</f>
        <v>300</v>
      </c>
      <c r="N23" s="35">
        <f>F23-червень!F23</f>
        <v>358.77000000000004</v>
      </c>
      <c r="O23" s="138">
        <f t="shared" si="3"/>
        <v>58.77000000000004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56549</v>
      </c>
      <c r="F24" s="144">
        <v>52858.38</v>
      </c>
      <c r="G24" s="135">
        <f t="shared" si="0"/>
        <v>-3690.6200000000026</v>
      </c>
      <c r="H24" s="137">
        <f t="shared" si="4"/>
        <v>93.47358927655661</v>
      </c>
      <c r="I24" s="136">
        <f t="shared" si="1"/>
        <v>-42841.62</v>
      </c>
      <c r="J24" s="136">
        <f t="shared" si="6"/>
        <v>55.23341692789968</v>
      </c>
      <c r="K24" s="139">
        <f>F24-47102.16</f>
        <v>5756.219999999994</v>
      </c>
      <c r="L24" s="139">
        <f>F24/47102.16*100</f>
        <v>112.22071344498849</v>
      </c>
      <c r="M24" s="35">
        <f>E24-червень!E24</f>
        <v>8808</v>
      </c>
      <c r="N24" s="35">
        <f>F24-червень!F24</f>
        <v>3268.8469999999943</v>
      </c>
      <c r="O24" s="138">
        <f t="shared" si="3"/>
        <v>-5539.153000000006</v>
      </c>
      <c r="P24" s="136">
        <f t="shared" si="5"/>
        <v>37.11225022706624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41.3</v>
      </c>
      <c r="G25" s="43">
        <f t="shared" si="0"/>
        <v>11.299999999999997</v>
      </c>
      <c r="H25" s="35">
        <f t="shared" si="4"/>
        <v>137.66666666666666</v>
      </c>
      <c r="I25" s="50">
        <f t="shared" si="1"/>
        <v>-28.700000000000003</v>
      </c>
      <c r="J25" s="178">
        <f t="shared" si="6"/>
        <v>59</v>
      </c>
      <c r="K25" s="178">
        <f>F25-34</f>
        <v>7.299999999999997</v>
      </c>
      <c r="L25" s="178">
        <f>F25/34*100</f>
        <v>121.4705882352941</v>
      </c>
      <c r="M25" s="35">
        <f>E25-червень!E25</f>
        <v>7.800000000000001</v>
      </c>
      <c r="N25" s="35">
        <f>F25-червень!F25</f>
        <v>3.8759999999999977</v>
      </c>
      <c r="O25" s="47">
        <f t="shared" si="3"/>
        <v>-3.924000000000003</v>
      </c>
      <c r="P25" s="50">
        <f t="shared" si="5"/>
        <v>49.69230769230766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-437.58</v>
      </c>
      <c r="G26" s="43">
        <f t="shared" si="0"/>
        <v>-437.58</v>
      </c>
      <c r="H26" s="35"/>
      <c r="I26" s="50">
        <f t="shared" si="1"/>
        <v>-437.58</v>
      </c>
      <c r="J26" s="136"/>
      <c r="K26" s="178">
        <f>F26-3736.89</f>
        <v>-4174.47</v>
      </c>
      <c r="L26" s="178">
        <f>F26/3736.89*100</f>
        <v>-11.70973724139592</v>
      </c>
      <c r="M26" s="35">
        <f>E26-червень!E26</f>
        <v>0</v>
      </c>
      <c r="N26" s="35">
        <f>F26-червень!F26</f>
        <v>-34.221000000000004</v>
      </c>
      <c r="O26" s="47">
        <f t="shared" si="3"/>
        <v>-34.221000000000004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51926.5</v>
      </c>
      <c r="F27" s="168">
        <v>53352.65</v>
      </c>
      <c r="G27" s="43">
        <f t="shared" si="0"/>
        <v>1426.1500000000015</v>
      </c>
      <c r="H27" s="35">
        <f t="shared" si="4"/>
        <v>102.74647819514122</v>
      </c>
      <c r="I27" s="50">
        <f t="shared" si="1"/>
        <v>-15147.349999999999</v>
      </c>
      <c r="J27" s="178">
        <f t="shared" si="6"/>
        <v>77.8870802919708</v>
      </c>
      <c r="K27" s="132">
        <f>F27-46209.73</f>
        <v>7142.919999999998</v>
      </c>
      <c r="L27" s="132">
        <f>F27/46209.73*100</f>
        <v>115.45761033444688</v>
      </c>
      <c r="M27" s="35">
        <f>E27-червень!E27</f>
        <v>6550</v>
      </c>
      <c r="N27" s="35">
        <f>F27-червень!F27</f>
        <v>7299.68</v>
      </c>
      <c r="O27" s="47">
        <f t="shared" si="3"/>
        <v>749.6800000000003</v>
      </c>
      <c r="P27" s="50">
        <f t="shared" si="5"/>
        <v>111.44549618320612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12669.75</v>
      </c>
      <c r="G29" s="135">
        <f t="shared" si="0"/>
        <v>429.75</v>
      </c>
      <c r="H29" s="137">
        <f t="shared" si="4"/>
        <v>103.51102941176471</v>
      </c>
      <c r="I29" s="136">
        <f t="shared" si="1"/>
        <v>-3830.25</v>
      </c>
      <c r="J29" s="136">
        <f t="shared" si="6"/>
        <v>76.78636363636365</v>
      </c>
      <c r="K29" s="139">
        <f>F29-12569.54</f>
        <v>100.20999999999913</v>
      </c>
      <c r="L29" s="139">
        <f>F29/12569.54*100</f>
        <v>100.79724476790717</v>
      </c>
      <c r="M29" s="35">
        <f>E29-червень!E29</f>
        <v>1200</v>
      </c>
      <c r="N29" s="35">
        <f>F29-червень!F29</f>
        <v>1246.5900000000001</v>
      </c>
      <c r="O29" s="138">
        <f t="shared" si="3"/>
        <v>46.590000000000146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40675.19</v>
      </c>
      <c r="G30" s="135">
        <f t="shared" si="0"/>
        <v>988.6900000000023</v>
      </c>
      <c r="H30" s="137">
        <f t="shared" si="4"/>
        <v>102.4912501732327</v>
      </c>
      <c r="I30" s="136">
        <f t="shared" si="1"/>
        <v>-11324.809999999998</v>
      </c>
      <c r="J30" s="136">
        <f t="shared" si="6"/>
        <v>78.22151923076923</v>
      </c>
      <c r="K30" s="139">
        <f>F30-33639.82</f>
        <v>7035.370000000003</v>
      </c>
      <c r="L30" s="139">
        <f>F30/33639.82*100</f>
        <v>120.91381582897888</v>
      </c>
      <c r="M30" s="35">
        <f>E30-червень!E30</f>
        <v>5350</v>
      </c>
      <c r="N30" s="35">
        <f>F30-червень!F30</f>
        <v>6052.340000000004</v>
      </c>
      <c r="O30" s="138">
        <f t="shared" si="3"/>
        <v>702.3400000000038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8.8</v>
      </c>
      <c r="G31" s="135">
        <f t="shared" si="0"/>
        <v>8.8</v>
      </c>
      <c r="H31" s="137"/>
      <c r="I31" s="136">
        <f t="shared" si="1"/>
        <v>8.8</v>
      </c>
      <c r="J31" s="136"/>
      <c r="K31" s="139">
        <f>F31-0</f>
        <v>8.8</v>
      </c>
      <c r="L31" s="139"/>
      <c r="M31" s="35">
        <f>E31-червень!E31</f>
        <v>0</v>
      </c>
      <c r="N31" s="35">
        <f>F31-червень!F31</f>
        <v>0.6300000000000008</v>
      </c>
      <c r="O31" s="138">
        <f t="shared" si="3"/>
        <v>0.6300000000000008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4024.33</v>
      </c>
      <c r="G32" s="43">
        <f t="shared" si="0"/>
        <v>22.329999999999927</v>
      </c>
      <c r="H32" s="35">
        <f t="shared" si="4"/>
        <v>100.55797101449275</v>
      </c>
      <c r="I32" s="50">
        <f t="shared" si="1"/>
        <v>-3475.67</v>
      </c>
      <c r="J32" s="178">
        <f t="shared" si="6"/>
        <v>53.65773333333333</v>
      </c>
      <c r="K32" s="178">
        <f>F32-5308.17</f>
        <v>-1283.8400000000001</v>
      </c>
      <c r="L32" s="178">
        <f>F32/5308.17*100</f>
        <v>75.81388689510698</v>
      </c>
      <c r="M32" s="35">
        <f>E32-червень!E32</f>
        <v>7.199999999999818</v>
      </c>
      <c r="N32" s="35">
        <f>F32-червень!F32</f>
        <v>3.5299999999997453</v>
      </c>
      <c r="O32" s="47">
        <f t="shared" si="3"/>
        <v>-3.6700000000000728</v>
      </c>
      <c r="P32" s="50">
        <f t="shared" si="5"/>
        <v>49.027777777775476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7175</v>
      </c>
      <c r="F33" s="18">
        <f>F34+F35+F36+F37+F38+F41+F42+F47+F48+F52+F40+F39</f>
        <v>18260.660000000003</v>
      </c>
      <c r="G33" s="44">
        <f t="shared" si="0"/>
        <v>11085.660000000003</v>
      </c>
      <c r="H33" s="45">
        <f>F33/E33*100</f>
        <v>254.50397212543558</v>
      </c>
      <c r="I33" s="31">
        <f t="shared" si="1"/>
        <v>5693.560000000003</v>
      </c>
      <c r="J33" s="31">
        <f t="shared" si="6"/>
        <v>145.3052812502487</v>
      </c>
      <c r="K33" s="18">
        <f>K34+K35+K36+K37+K38+K41+K42+K47+K48+K52+K40</f>
        <v>10818.26</v>
      </c>
      <c r="L33" s="18"/>
      <c r="M33" s="18">
        <f>M34+M35+M36+M37+M38+M41+M42+M47+M48+M52+M40+M39</f>
        <v>1057.5</v>
      </c>
      <c r="N33" s="18">
        <f>N34+N35+N36+N37+N38+N41+N42+N47+N48+N52+N40+N39</f>
        <v>2387.66</v>
      </c>
      <c r="O33" s="49">
        <f t="shared" si="3"/>
        <v>1330.1599999999999</v>
      </c>
      <c r="P33" s="31">
        <f>N33/M33*100</f>
        <v>225.78345153664304</v>
      </c>
      <c r="Q33" s="31">
        <f>N33-1017.63</f>
        <v>1370.0299999999997</v>
      </c>
      <c r="R33" s="127">
        <f>N33/1017.63</f>
        <v>2.346294822283148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105</v>
      </c>
      <c r="F34" s="143">
        <v>100.4</v>
      </c>
      <c r="G34" s="43">
        <f t="shared" si="0"/>
        <v>-4.599999999999994</v>
      </c>
      <c r="H34" s="35">
        <f>F34/E34*100</f>
        <v>95.61904761904762</v>
      </c>
      <c r="I34" s="50">
        <f t="shared" si="1"/>
        <v>-99.6</v>
      </c>
      <c r="J34" s="50">
        <f t="shared" si="6"/>
        <v>50.2</v>
      </c>
      <c r="K34" s="50">
        <f>F34-106.29</f>
        <v>-5.890000000000001</v>
      </c>
      <c r="L34" s="50">
        <f>F34/106.29*100</f>
        <v>94.45855677862451</v>
      </c>
      <c r="M34" s="35">
        <f>E34-червень!E34</f>
        <v>10</v>
      </c>
      <c r="N34" s="35">
        <f>F34-червень!F34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223.86</v>
      </c>
      <c r="G36" s="43">
        <f t="shared" si="0"/>
        <v>223.86</v>
      </c>
      <c r="H36" s="35"/>
      <c r="I36" s="50">
        <f t="shared" si="1"/>
        <v>223.86</v>
      </c>
      <c r="J36" s="50"/>
      <c r="K36" s="50">
        <f>F36-214.58</f>
        <v>9.280000000000001</v>
      </c>
      <c r="L36" s="50">
        <f>F36/214.58*100</f>
        <v>104.32472737440581</v>
      </c>
      <c r="M36" s="35">
        <f>E36-червень!E36</f>
        <v>0</v>
      </c>
      <c r="N36" s="35">
        <f>F36-червень!F36</f>
        <v>35.68000000000001</v>
      </c>
      <c r="O36" s="47">
        <f t="shared" si="3"/>
        <v>35.68000000000001</v>
      </c>
      <c r="P36" s="50"/>
      <c r="Q36" s="50">
        <f>N36-4.23</f>
        <v>31.450000000000006</v>
      </c>
      <c r="R36" s="126">
        <f>N36/4.23</f>
        <v>8.434988179669032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87.83</v>
      </c>
      <c r="G38" s="43">
        <f t="shared" si="0"/>
        <v>7.829999999999998</v>
      </c>
      <c r="H38" s="35">
        <f>F38/E38*100</f>
        <v>109.7875</v>
      </c>
      <c r="I38" s="50">
        <f t="shared" si="1"/>
        <v>-52.17</v>
      </c>
      <c r="J38" s="50">
        <f t="shared" si="6"/>
        <v>62.73571428571428</v>
      </c>
      <c r="K38" s="50">
        <f>F38-78.24</f>
        <v>9.590000000000003</v>
      </c>
      <c r="L38" s="50">
        <f>F38/78.24*100</f>
        <v>112.25715746421268</v>
      </c>
      <c r="M38" s="35">
        <f>E38-червень!E38</f>
        <v>15</v>
      </c>
      <c r="N38" s="35">
        <f>F38-червень!F38</f>
        <v>6.209999999999994</v>
      </c>
      <c r="O38" s="47">
        <f t="shared" si="3"/>
        <v>-8.790000000000006</v>
      </c>
      <c r="P38" s="50">
        <f>N38/M38*100</f>
        <v>41.399999999999956</v>
      </c>
      <c r="Q38" s="50">
        <f>N38-9.02</f>
        <v>-2.810000000000006</v>
      </c>
      <c r="R38" s="126">
        <f>N38/9.02</f>
        <v>0.6884700665188463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5675.07</v>
      </c>
      <c r="G40" s="43"/>
      <c r="H40" s="35"/>
      <c r="I40" s="50">
        <f t="shared" si="1"/>
        <v>5675.07</v>
      </c>
      <c r="J40" s="50"/>
      <c r="K40" s="50">
        <f>F40-0</f>
        <v>5675.07</v>
      </c>
      <c r="L40" s="50"/>
      <c r="M40" s="35">
        <f>E40-червень!E40</f>
        <v>0</v>
      </c>
      <c r="N40" s="35">
        <f>F40-червень!F40</f>
        <v>747.4699999999993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5141.68</v>
      </c>
      <c r="G41" s="43">
        <f t="shared" si="0"/>
        <v>1071.6800000000003</v>
      </c>
      <c r="H41" s="35">
        <f>F41/E41*100</f>
        <v>126.33120393120394</v>
      </c>
      <c r="I41" s="50">
        <f t="shared" si="1"/>
        <v>-1758.3199999999997</v>
      </c>
      <c r="J41" s="50">
        <f t="shared" si="6"/>
        <v>74.51710144927537</v>
      </c>
      <c r="K41" s="50">
        <f>F41-4143.38</f>
        <v>998.3000000000002</v>
      </c>
      <c r="L41" s="50">
        <f>F41/4143.38*100</f>
        <v>124.09385574096513</v>
      </c>
      <c r="M41" s="35">
        <f>E41-червень!E41</f>
        <v>550</v>
      </c>
      <c r="N41" s="35">
        <f>F41-червень!F41</f>
        <v>838.9700000000003</v>
      </c>
      <c r="O41" s="47">
        <f t="shared" si="3"/>
        <v>288.97000000000025</v>
      </c>
      <c r="P41" s="50">
        <f>N41/M41*100</f>
        <v>152.54000000000005</v>
      </c>
      <c r="Q41" s="50">
        <f>N41-647.49</f>
        <v>191.48000000000025</v>
      </c>
      <c r="R41" s="126">
        <f>N41/647.49</f>
        <v>1.2957265749277984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562</v>
      </c>
      <c r="F42" s="143">
        <v>4520.52</v>
      </c>
      <c r="G42" s="43">
        <f t="shared" si="0"/>
        <v>3958.5200000000004</v>
      </c>
      <c r="H42" s="35">
        <f>F42/E42*100</f>
        <v>804.3629893238435</v>
      </c>
      <c r="I42" s="50">
        <f t="shared" si="1"/>
        <v>3420.5200000000004</v>
      </c>
      <c r="J42" s="50">
        <f t="shared" si="6"/>
        <v>410.9563636363637</v>
      </c>
      <c r="K42" s="50">
        <f>F42-531.41</f>
        <v>3989.1100000000006</v>
      </c>
      <c r="L42" s="50">
        <f>F42/531.41*100</f>
        <v>850.6652114186787</v>
      </c>
      <c r="M42" s="35">
        <f>E42-червень!E42</f>
        <v>112</v>
      </c>
      <c r="N42" s="35">
        <f>F42-червень!F42</f>
        <v>487.28000000000065</v>
      </c>
      <c r="O42" s="47">
        <f t="shared" si="3"/>
        <v>375.28000000000065</v>
      </c>
      <c r="P42" s="50">
        <f>N42/M42*100</f>
        <v>435.0714285714291</v>
      </c>
      <c r="Q42" s="50">
        <f>N42-79.51</f>
        <v>407.77000000000066</v>
      </c>
      <c r="R42" s="126">
        <f>N42/79.51</f>
        <v>6.128537290906812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644.97</v>
      </c>
      <c r="G43" s="135">
        <f t="shared" si="0"/>
        <v>154.97000000000003</v>
      </c>
      <c r="H43" s="137">
        <f>F43/E43*100</f>
        <v>131.6265306122449</v>
      </c>
      <c r="I43" s="136">
        <f t="shared" si="1"/>
        <v>-325.03</v>
      </c>
      <c r="J43" s="136">
        <f t="shared" si="6"/>
        <v>66.49175257731959</v>
      </c>
      <c r="K43" s="136">
        <f>F43-359.18</f>
        <v>285.79</v>
      </c>
      <c r="L43" s="136">
        <f>F43/359.18*100</f>
        <v>179.5673478478757</v>
      </c>
      <c r="M43" s="35">
        <f>E43-червень!E43</f>
        <v>100</v>
      </c>
      <c r="N43" s="35">
        <f>F43-червень!F43</f>
        <v>62.23000000000002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</v>
      </c>
      <c r="G44" s="135">
        <f t="shared" si="0"/>
        <v>45.4</v>
      </c>
      <c r="H44" s="137"/>
      <c r="I44" s="136">
        <f t="shared" si="1"/>
        <v>45.4</v>
      </c>
      <c r="J44" s="136"/>
      <c r="K44" s="136">
        <f>F44-0</f>
        <v>45.4</v>
      </c>
      <c r="L44" s="136"/>
      <c r="M44" s="35">
        <f>E44-червень!E44</f>
        <v>0</v>
      </c>
      <c r="N44" s="35">
        <f>F44-червень!F44</f>
        <v>0.25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3829.41</v>
      </c>
      <c r="G46" s="135">
        <f t="shared" si="0"/>
        <v>3757.41</v>
      </c>
      <c r="H46" s="137">
        <f>F46/E46*100</f>
        <v>5318.625</v>
      </c>
      <c r="I46" s="136">
        <f t="shared" si="1"/>
        <v>3699.41</v>
      </c>
      <c r="J46" s="136">
        <f t="shared" si="6"/>
        <v>2945.7</v>
      </c>
      <c r="K46" s="136">
        <f>F46-56.15</f>
        <v>3773.2599999999998</v>
      </c>
      <c r="L46" s="136">
        <f>F46/56.15*100</f>
        <v>6819.964381121994</v>
      </c>
      <c r="M46" s="35">
        <f>E46-червень!E46</f>
        <v>-8</v>
      </c>
      <c r="N46" s="35">
        <f>F46-червень!F46</f>
        <v>424.80999999999995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2507.7</v>
      </c>
      <c r="G48" s="43">
        <f t="shared" si="0"/>
        <v>157.69999999999982</v>
      </c>
      <c r="H48" s="35">
        <f>F48/E48*100</f>
        <v>106.71063829787232</v>
      </c>
      <c r="I48" s="50">
        <f t="shared" si="1"/>
        <v>-1692.3000000000002</v>
      </c>
      <c r="J48" s="50">
        <f>F48/D48*100</f>
        <v>59.70714285714285</v>
      </c>
      <c r="K48" s="50">
        <f>F48-2346.09</f>
        <v>161.60999999999967</v>
      </c>
      <c r="L48" s="50">
        <f>F48/2346.09*100</f>
        <v>106.88848253903302</v>
      </c>
      <c r="M48" s="35">
        <f>E48-червень!E48</f>
        <v>370</v>
      </c>
      <c r="N48" s="35">
        <f>F48-червень!F48</f>
        <v>271.5499999999997</v>
      </c>
      <c r="O48" s="47">
        <f t="shared" si="3"/>
        <v>-98.45000000000027</v>
      </c>
      <c r="P48" s="50">
        <f aca="true" t="shared" si="7" ref="P48:P53">N48/M48*100</f>
        <v>73.39189189189182</v>
      </c>
      <c r="Q48" s="50">
        <f>N48-277.38</f>
        <v>-5.830000000000268</v>
      </c>
      <c r="R48" s="126">
        <f>N48/277.38</f>
        <v>0.978981902083783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657.8</v>
      </c>
      <c r="G51" s="135">
        <f t="shared" si="0"/>
        <v>657.8</v>
      </c>
      <c r="H51" s="137"/>
      <c r="I51" s="136">
        <f t="shared" si="1"/>
        <v>657.8</v>
      </c>
      <c r="J51" s="136"/>
      <c r="K51" s="136">
        <f>F51-469.9</f>
        <v>187.89999999999998</v>
      </c>
      <c r="L51" s="138">
        <f>F51/469.9*100</f>
        <v>139.987231325814</v>
      </c>
      <c r="M51" s="35">
        <f>E51-червень!E51</f>
        <v>0</v>
      </c>
      <c r="N51" s="35">
        <f>F51-червень!F51</f>
        <v>80.39999999999998</v>
      </c>
      <c r="O51" s="138">
        <f t="shared" si="3"/>
        <v>80.39999999999998</v>
      </c>
      <c r="P51" s="136"/>
      <c r="Q51" s="50">
        <f>N51-64.93</f>
        <v>15.46999999999997</v>
      </c>
      <c r="R51" s="126">
        <f>N51/64.93</f>
        <v>1.2382565840135527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6.52</v>
      </c>
      <c r="G53" s="43">
        <f t="shared" si="0"/>
        <v>-8.48</v>
      </c>
      <c r="H53" s="35">
        <f>F53/E53*100</f>
        <v>43.46666666666666</v>
      </c>
      <c r="I53" s="50">
        <f t="shared" si="1"/>
        <v>-19.98</v>
      </c>
      <c r="J53" s="50">
        <f>F53/D53*100</f>
        <v>24.603773584905657</v>
      </c>
      <c r="K53" s="50">
        <f>F53-15.43</f>
        <v>-8.91</v>
      </c>
      <c r="L53" s="50">
        <f>F53/15.43*100</f>
        <v>42.255346727154894</v>
      </c>
      <c r="M53" s="35">
        <f>E53-червень!E53</f>
        <v>2.1999999999999993</v>
      </c>
      <c r="N53" s="35">
        <f>F53-червень!F53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0.01</v>
      </c>
      <c r="G54" s="43">
        <f t="shared" si="0"/>
        <v>0.01</v>
      </c>
      <c r="H54" s="35"/>
      <c r="I54" s="50">
        <f t="shared" si="1"/>
        <v>0.01</v>
      </c>
      <c r="J54" s="50"/>
      <c r="K54" s="50">
        <f>F54-0.08</f>
        <v>-0.07</v>
      </c>
      <c r="L54" s="50"/>
      <c r="M54" s="35">
        <f>E54-червень!E54</f>
        <v>0</v>
      </c>
      <c r="N54" s="35">
        <f>F54-червень!F54</f>
        <v>-0.01</v>
      </c>
      <c r="O54" s="47">
        <f t="shared" si="3"/>
        <v>-0.01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335538.39999999997</v>
      </c>
      <c r="F55" s="18">
        <f>F8+F33+F53+F54</f>
        <v>361437.8700000001</v>
      </c>
      <c r="G55" s="44">
        <f>F55-E55</f>
        <v>25899.470000000147</v>
      </c>
      <c r="H55" s="45">
        <f>F55/E55*100</f>
        <v>107.71877972834112</v>
      </c>
      <c r="I55" s="31">
        <f>F55-D55</f>
        <v>-168584.72999999986</v>
      </c>
      <c r="J55" s="31">
        <f>F55/D55*100</f>
        <v>68.19291667940199</v>
      </c>
      <c r="K55" s="31">
        <f>K8+K33+K53+K54</f>
        <v>76668.73400000001</v>
      </c>
      <c r="L55" s="31">
        <f>F55/(F55-K55)*100</f>
        <v>126.92311922454967</v>
      </c>
      <c r="M55" s="18">
        <f>M8+M33+M53+M54</f>
        <v>47811.7</v>
      </c>
      <c r="N55" s="18">
        <f>N8+N33+N53+N54</f>
        <v>40439.215000000004</v>
      </c>
      <c r="O55" s="49">
        <f>N55-M55</f>
        <v>-7372.484999999993</v>
      </c>
      <c r="P55" s="31">
        <f>N55/M55*100</f>
        <v>84.5801655243382</v>
      </c>
      <c r="Q55" s="31">
        <f>N55-34768</f>
        <v>5671.215000000004</v>
      </c>
      <c r="R55" s="171">
        <f>N55/34768</f>
        <v>1.163115939944777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-44.17</v>
      </c>
      <c r="G61" s="43">
        <f aca="true" t="shared" si="8" ref="G61:G68">F61-E61</f>
        <v>-44.17</v>
      </c>
      <c r="H61" s="35"/>
      <c r="I61" s="53">
        <f aca="true" t="shared" si="9" ref="I61:I68">F61-D61</f>
        <v>-44.17</v>
      </c>
      <c r="J61" s="53"/>
      <c r="K61" s="47">
        <f>F61-183.34</f>
        <v>-227.51</v>
      </c>
      <c r="L61" s="53"/>
      <c r="M61" s="35">
        <v>0</v>
      </c>
      <c r="N61" s="36">
        <f>F61-червень!F61</f>
        <v>-13.130000000000003</v>
      </c>
      <c r="O61" s="47">
        <f aca="true" t="shared" si="10" ref="O61:O68">N61-M61</f>
        <v>-13.130000000000003</v>
      </c>
      <c r="P61" s="53"/>
      <c r="Q61" s="53">
        <f>N61-24.53</f>
        <v>-37.660000000000004</v>
      </c>
      <c r="R61" s="129">
        <f>N61/24.53</f>
        <v>-0.5352629433346923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-44.17</v>
      </c>
      <c r="G62" s="55">
        <f t="shared" si="8"/>
        <v>-44.17</v>
      </c>
      <c r="H62" s="65"/>
      <c r="I62" s="54">
        <f t="shared" si="9"/>
        <v>-44.17</v>
      </c>
      <c r="J62" s="54"/>
      <c r="K62" s="54">
        <f>K60+K61</f>
        <v>-226.37</v>
      </c>
      <c r="L62" s="54"/>
      <c r="M62" s="55">
        <f>M61</f>
        <v>0</v>
      </c>
      <c r="N62" s="33">
        <f>SUM(N60:N61)</f>
        <v>-13.130000000000003</v>
      </c>
      <c r="O62" s="54">
        <f t="shared" si="10"/>
        <v>-13.130000000000003</v>
      </c>
      <c r="P62" s="54"/>
      <c r="Q62" s="54">
        <f>N62-92.85</f>
        <v>-105.97999999999999</v>
      </c>
      <c r="R62" s="130">
        <f>N62/92.85</f>
        <v>-0.14141087775982772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592.97</v>
      </c>
      <c r="G64" s="43">
        <f t="shared" si="8"/>
        <v>192.97000000000003</v>
      </c>
      <c r="H64" s="35"/>
      <c r="I64" s="53">
        <f t="shared" si="9"/>
        <v>-1907.03</v>
      </c>
      <c r="J64" s="53">
        <f t="shared" si="11"/>
        <v>23.7188</v>
      </c>
      <c r="K64" s="53">
        <f>F64-1678.13</f>
        <v>-1085.16</v>
      </c>
      <c r="L64" s="53">
        <f>F64/1678.13*100</f>
        <v>35.335164736939326</v>
      </c>
      <c r="M64" s="35">
        <f>E64-червень!E64</f>
        <v>0</v>
      </c>
      <c r="N64" s="35">
        <f>F64-червень!F64</f>
        <v>398.97</v>
      </c>
      <c r="O64" s="47">
        <f t="shared" si="10"/>
        <v>398.97</v>
      </c>
      <c r="P64" s="53"/>
      <c r="Q64" s="53">
        <f>N64-0.04</f>
        <v>398.93</v>
      </c>
      <c r="R64" s="129">
        <f>N64/0.04</f>
        <v>9974.25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3352</v>
      </c>
      <c r="G65" s="43">
        <f t="shared" si="8"/>
        <v>-360.7600000000002</v>
      </c>
      <c r="H65" s="35">
        <f>F65/E65*100</f>
        <v>90.28323942296296</v>
      </c>
      <c r="I65" s="53">
        <f t="shared" si="9"/>
        <v>-8224</v>
      </c>
      <c r="J65" s="53">
        <f t="shared" si="11"/>
        <v>28.956461644782312</v>
      </c>
      <c r="K65" s="53">
        <f>F65-2235.97</f>
        <v>1116.0300000000002</v>
      </c>
      <c r="L65" s="53">
        <f>F65/2235.97*100</f>
        <v>149.91256591099167</v>
      </c>
      <c r="M65" s="35">
        <f>E65-червень!E65</f>
        <v>1213.0600000000004</v>
      </c>
      <c r="N65" s="35">
        <f>F65-червень!F65</f>
        <v>94.92999999999984</v>
      </c>
      <c r="O65" s="47">
        <f t="shared" si="10"/>
        <v>-1118.1300000000006</v>
      </c>
      <c r="P65" s="53">
        <f>N65/M65*100</f>
        <v>7.825664023214005</v>
      </c>
      <c r="Q65" s="53">
        <f>N65-450.01</f>
        <v>-355.08000000000015</v>
      </c>
      <c r="R65" s="129">
        <f>N65/450.01</f>
        <v>0.2109508677584939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5763.610000000001</v>
      </c>
      <c r="G67" s="55">
        <f t="shared" si="8"/>
        <v>762.25</v>
      </c>
      <c r="H67" s="65">
        <f>F67/E67*100</f>
        <v>115.24085448757937</v>
      </c>
      <c r="I67" s="54">
        <f t="shared" si="9"/>
        <v>-11312.39</v>
      </c>
      <c r="J67" s="54">
        <f t="shared" si="11"/>
        <v>33.75269383930663</v>
      </c>
      <c r="K67" s="54">
        <f>K64+K65+K66</f>
        <v>1085.2900000000002</v>
      </c>
      <c r="L67" s="54"/>
      <c r="M67" s="55">
        <f>M64+M65+M66</f>
        <v>1361.1600000000003</v>
      </c>
      <c r="N67" s="55">
        <f>N64+N65+N66</f>
        <v>494.1199999999999</v>
      </c>
      <c r="O67" s="54">
        <f t="shared" si="10"/>
        <v>-867.0400000000004</v>
      </c>
      <c r="P67" s="54">
        <f>N67/M67*100</f>
        <v>36.30138999089011</v>
      </c>
      <c r="Q67" s="54">
        <f>N67-7985.28</f>
        <v>-7491.16</v>
      </c>
      <c r="R67" s="173">
        <f>N67/7985.28</f>
        <v>0.06187885709705858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0.01</v>
      </c>
      <c r="G68" s="43">
        <f t="shared" si="8"/>
        <v>-13.99</v>
      </c>
      <c r="H68" s="35"/>
      <c r="I68" s="53">
        <f t="shared" si="9"/>
        <v>-34.99</v>
      </c>
      <c r="J68" s="53">
        <f t="shared" si="11"/>
        <v>0.028571428571428574</v>
      </c>
      <c r="K68" s="53">
        <f>F68-14.17</f>
        <v>-14.16</v>
      </c>
      <c r="L68" s="53">
        <f>F68/14.17*100</f>
        <v>0.07057163020465773</v>
      </c>
      <c r="M68" s="35">
        <f>E68-червень!E68</f>
        <v>0</v>
      </c>
      <c r="N68" s="35">
        <f>F68-червень!F68</f>
        <v>0.01</v>
      </c>
      <c r="O68" s="47">
        <f t="shared" si="10"/>
        <v>0.01</v>
      </c>
      <c r="P68" s="53"/>
      <c r="Q68" s="53">
        <f>N68-0.16</f>
        <v>-0.15</v>
      </c>
      <c r="R68" s="129">
        <f>N68/0.16</f>
        <v>0.0625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F70-0.52</f>
        <v>0.54</v>
      </c>
      <c r="L70" s="53">
        <f>F70/0.52*100</f>
        <v>203.84615384615384</v>
      </c>
      <c r="M70" s="35">
        <f>E70-червень!E70</f>
        <v>0</v>
      </c>
      <c r="N70" s="35">
        <f>F70-червень!F70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1.07</v>
      </c>
      <c r="G71" s="55">
        <f>F71-E71</f>
        <v>-24.93</v>
      </c>
      <c r="H71" s="65"/>
      <c r="I71" s="54">
        <f>F71-D71</f>
        <v>-52.93</v>
      </c>
      <c r="J71" s="54">
        <f>F71/D71*100</f>
        <v>1.9814814814814816</v>
      </c>
      <c r="K71" s="54">
        <f>K68+K69+K70</f>
        <v>-33.1</v>
      </c>
      <c r="L71" s="54"/>
      <c r="M71" s="55">
        <f>M68+M70+M69</f>
        <v>2</v>
      </c>
      <c r="N71" s="55">
        <f>N68+N70+N69</f>
        <v>0.01</v>
      </c>
      <c r="O71" s="54">
        <f>N71-M71</f>
        <v>-1.99</v>
      </c>
      <c r="P71" s="54"/>
      <c r="Q71" s="54">
        <f>N71-26.38</f>
        <v>-26.369999999999997</v>
      </c>
      <c r="R71" s="128">
        <f>N71/26.38</f>
        <v>0.0003790750568612585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19.94</v>
      </c>
      <c r="G72" s="43">
        <f>F72-E72</f>
        <v>-3.049999999999997</v>
      </c>
      <c r="H72" s="35">
        <f>F72/E72*100</f>
        <v>86.73336233144848</v>
      </c>
      <c r="I72" s="53">
        <f>F72-D72</f>
        <v>-22.06</v>
      </c>
      <c r="J72" s="53">
        <f>F72/D72*100</f>
        <v>47.476190476190474</v>
      </c>
      <c r="K72" s="53">
        <f>F72-22.4</f>
        <v>-2.4599999999999973</v>
      </c>
      <c r="L72" s="53">
        <f>F72/22.4*100</f>
        <v>89.01785714285715</v>
      </c>
      <c r="M72" s="35">
        <f>E72-червень!E72</f>
        <v>1.1999999999999993</v>
      </c>
      <c r="N72" s="35">
        <f>F72-червень!F72</f>
        <v>0</v>
      </c>
      <c r="O72" s="47">
        <f>N72-M72</f>
        <v>-1.1999999999999993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5740.650000000001</v>
      </c>
      <c r="G74" s="44">
        <f>F74-E74</f>
        <v>690.3000000000002</v>
      </c>
      <c r="H74" s="45">
        <f>F74/E74*100</f>
        <v>113.6683596186403</v>
      </c>
      <c r="I74" s="31">
        <f>F74-D74</f>
        <v>-11431.349999999999</v>
      </c>
      <c r="J74" s="31">
        <f>F74/D74*100</f>
        <v>33.43029350104822</v>
      </c>
      <c r="K74" s="31">
        <f>K62+K67+K71+K72</f>
        <v>823.3600000000001</v>
      </c>
      <c r="L74" s="31"/>
      <c r="M74" s="27">
        <f>M62+M72+M67+M71</f>
        <v>1364.3600000000004</v>
      </c>
      <c r="N74" s="27">
        <f>N62+N72+N67+N71+N73</f>
        <v>480.9999999999999</v>
      </c>
      <c r="O74" s="31">
        <f>N74-M74</f>
        <v>-883.3600000000005</v>
      </c>
      <c r="P74" s="31">
        <f>N74/M74*100</f>
        <v>35.25462487906416</v>
      </c>
      <c r="Q74" s="31">
        <f>N74-8104.96</f>
        <v>-7623.96</v>
      </c>
      <c r="R74" s="127">
        <f>N74/8104.96</f>
        <v>0.05934637555274793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340588.74999999994</v>
      </c>
      <c r="F75" s="27">
        <f>F55+F74</f>
        <v>367178.52000000014</v>
      </c>
      <c r="G75" s="44">
        <f>F75-E75</f>
        <v>26589.770000000193</v>
      </c>
      <c r="H75" s="45">
        <f>F75/E75*100</f>
        <v>107.80700184606809</v>
      </c>
      <c r="I75" s="31">
        <f>F75-D75</f>
        <v>-180016.07999999984</v>
      </c>
      <c r="J75" s="31">
        <f>F75/D75*100</f>
        <v>67.10199991008686</v>
      </c>
      <c r="K75" s="31">
        <f>K55+K74</f>
        <v>77492.09400000001</v>
      </c>
      <c r="L75" s="31">
        <f>F75/(F75-K75)*100</f>
        <v>126.75033658636114</v>
      </c>
      <c r="M75" s="18">
        <f>M55+M74</f>
        <v>49176.06</v>
      </c>
      <c r="N75" s="18">
        <f>N55+N74</f>
        <v>40920.215000000004</v>
      </c>
      <c r="O75" s="31">
        <f>N75-M75</f>
        <v>-8255.844999999994</v>
      </c>
      <c r="P75" s="31">
        <f>N75/M75*100</f>
        <v>83.21165827437173</v>
      </c>
      <c r="Q75" s="31">
        <f>N75-42872.96</f>
        <v>-1952.7449999999953</v>
      </c>
      <c r="R75" s="127">
        <f>N75/42872.96</f>
        <v>0.9544527599680546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5</v>
      </c>
      <c r="D77" s="4" t="s">
        <v>118</v>
      </c>
    </row>
    <row r="78" spans="2:17" ht="31.5">
      <c r="B78" s="71" t="s">
        <v>154</v>
      </c>
      <c r="C78" s="34">
        <f>IF(O55&lt;0,ABS(O55/C77),0)</f>
        <v>1474.4969999999987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42208</v>
      </c>
      <c r="D79" s="34">
        <v>1839.2</v>
      </c>
      <c r="N79" s="232"/>
      <c r="O79" s="232"/>
    </row>
    <row r="80" spans="3:15" ht="15.75">
      <c r="C80" s="111">
        <v>42207</v>
      </c>
      <c r="D80" s="34">
        <v>2987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42206</v>
      </c>
      <c r="D81" s="34">
        <v>3148.7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145058.83993000002</v>
      </c>
      <c r="E83" s="73"/>
      <c r="F83" s="156" t="s">
        <v>147</v>
      </c>
      <c r="G83" s="229" t="s">
        <v>149</v>
      </c>
      <c r="H83" s="229"/>
      <c r="I83" s="107">
        <v>136149.10772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5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51" sqref="H5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2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3" t="s">
        <v>280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117"/>
      <c r="R1" s="118"/>
    </row>
    <row r="2" spans="2:18" s="1" customFormat="1" ht="15.75" customHeight="1">
      <c r="B2" s="248"/>
      <c r="C2" s="248"/>
      <c r="D2" s="248"/>
      <c r="E2" s="2"/>
      <c r="F2" s="208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261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277</v>
      </c>
      <c r="N3" s="258" t="s">
        <v>278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279</v>
      </c>
      <c r="F4" s="261" t="s">
        <v>116</v>
      </c>
      <c r="G4" s="207" t="s">
        <v>275</v>
      </c>
      <c r="H4" s="245" t="s">
        <v>276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281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62"/>
      <c r="G5" s="244"/>
      <c r="H5" s="246"/>
      <c r="I5" s="243"/>
      <c r="J5" s="239"/>
      <c r="K5" s="235" t="s">
        <v>288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9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10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12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13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13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13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13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13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12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13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4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12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4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5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5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13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13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13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4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4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4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13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13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13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13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4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10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12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12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12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12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12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12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12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12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12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13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13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13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13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12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12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12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12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13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12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12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12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10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6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6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8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8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8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9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8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8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8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8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9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8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8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8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9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8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8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20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20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2"/>
      <c r="O79" s="232"/>
    </row>
    <row r="80" spans="3:15" ht="15.75">
      <c r="C80" s="111">
        <v>42181</v>
      </c>
      <c r="D80" s="34">
        <v>8722.4</v>
      </c>
      <c r="F80" s="221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42180</v>
      </c>
      <c r="D81" s="34">
        <v>4146.6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152943.93305000002</v>
      </c>
      <c r="E83" s="73"/>
      <c r="F83" s="222" t="s">
        <v>147</v>
      </c>
      <c r="G83" s="229" t="s">
        <v>149</v>
      </c>
      <c r="H83" s="229"/>
      <c r="I83" s="107">
        <v>144034.20084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22" sqref="K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261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266</v>
      </c>
      <c r="N3" s="258" t="s">
        <v>267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262</v>
      </c>
      <c r="F4" s="205" t="s">
        <v>116</v>
      </c>
      <c r="G4" s="207" t="s">
        <v>263</v>
      </c>
      <c r="H4" s="245" t="s">
        <v>264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273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46"/>
      <c r="I5" s="243"/>
      <c r="J5" s="239"/>
      <c r="K5" s="235" t="s">
        <v>265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42151</v>
      </c>
      <c r="D81" s="34">
        <v>3158.7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7:13" ht="15.75" customHeight="1"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153606.78</v>
      </c>
      <c r="E83" s="73"/>
      <c r="F83" s="156" t="s">
        <v>147</v>
      </c>
      <c r="G83" s="229" t="s">
        <v>149</v>
      </c>
      <c r="H83" s="229"/>
      <c r="I83" s="107">
        <v>144697.05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4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261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240</v>
      </c>
      <c r="N3" s="258" t="s">
        <v>241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237</v>
      </c>
      <c r="F4" s="264" t="s">
        <v>116</v>
      </c>
      <c r="G4" s="207" t="s">
        <v>238</v>
      </c>
      <c r="H4" s="245" t="s">
        <v>239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260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65"/>
      <c r="G5" s="244"/>
      <c r="H5" s="246"/>
      <c r="I5" s="243"/>
      <c r="J5" s="239"/>
      <c r="K5" s="235" t="s">
        <v>242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7"/>
      <c r="H103" s="237"/>
      <c r="I103" s="237"/>
      <c r="J103" s="237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23"/>
      <c r="H105" s="223"/>
      <c r="I105" s="177"/>
      <c r="J105" s="230"/>
      <c r="K105" s="230"/>
      <c r="L105" s="230"/>
      <c r="M105" s="230"/>
      <c r="N105" s="232"/>
      <c r="O105" s="232"/>
    </row>
    <row r="106" spans="3:15" ht="15.75" customHeight="1">
      <c r="C106" s="111">
        <v>42122</v>
      </c>
      <c r="D106" s="34">
        <v>4962.7</v>
      </c>
      <c r="G106" s="229" t="s">
        <v>151</v>
      </c>
      <c r="H106" s="229"/>
      <c r="I106" s="106">
        <v>8909.73221</v>
      </c>
      <c r="J106" s="231"/>
      <c r="K106" s="231"/>
      <c r="L106" s="231"/>
      <c r="M106" s="231"/>
      <c r="N106" s="232"/>
      <c r="O106" s="232"/>
    </row>
    <row r="107" spans="7:13" ht="15.75" customHeight="1">
      <c r="G107" s="233" t="s">
        <v>234</v>
      </c>
      <c r="H107" s="234"/>
      <c r="I107" s="103">
        <v>0</v>
      </c>
      <c r="J107" s="230"/>
      <c r="K107" s="230"/>
      <c r="L107" s="230"/>
      <c r="M107" s="230"/>
    </row>
    <row r="108" spans="2:13" ht="18.75" customHeight="1">
      <c r="B108" s="227" t="s">
        <v>160</v>
      </c>
      <c r="C108" s="228"/>
      <c r="D108" s="108">
        <v>154856.06924</v>
      </c>
      <c r="E108" s="73"/>
      <c r="F108" s="202" t="s">
        <v>147</v>
      </c>
      <c r="G108" s="229" t="s">
        <v>149</v>
      </c>
      <c r="H108" s="229"/>
      <c r="I108" s="107">
        <v>145946.33703</v>
      </c>
      <c r="J108" s="230"/>
      <c r="K108" s="230"/>
      <c r="L108" s="230"/>
      <c r="M108" s="230"/>
    </row>
    <row r="109" spans="7:12" ht="9.75" customHeight="1">
      <c r="G109" s="223"/>
      <c r="H109" s="223"/>
      <c r="I109" s="90"/>
      <c r="J109" s="91"/>
      <c r="K109" s="91"/>
      <c r="L109" s="91"/>
    </row>
    <row r="110" spans="2:12" ht="22.5" customHeight="1" hidden="1">
      <c r="B110" s="224" t="s">
        <v>167</v>
      </c>
      <c r="C110" s="225"/>
      <c r="D110" s="110">
        <v>0</v>
      </c>
      <c r="E110" s="70" t="s">
        <v>104</v>
      </c>
      <c r="G110" s="223"/>
      <c r="H110" s="223"/>
      <c r="I110" s="90"/>
      <c r="J110" s="91"/>
      <c r="K110" s="91"/>
      <c r="L110" s="91"/>
    </row>
    <row r="111" spans="4:15" ht="15.75">
      <c r="D111" s="105"/>
      <c r="N111" s="223"/>
      <c r="O111" s="223"/>
    </row>
    <row r="112" spans="4:15" ht="15.75">
      <c r="D112" s="104"/>
      <c r="I112" s="34"/>
      <c r="N112" s="226"/>
      <c r="O112" s="226"/>
    </row>
    <row r="113" spans="14:15" ht="15.75">
      <c r="N113" s="223"/>
      <c r="O113" s="22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235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216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231</v>
      </c>
      <c r="N3" s="258" t="s">
        <v>232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228</v>
      </c>
      <c r="F4" s="205" t="s">
        <v>116</v>
      </c>
      <c r="G4" s="207" t="s">
        <v>229</v>
      </c>
      <c r="H4" s="245" t="s">
        <v>230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236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46"/>
      <c r="I5" s="243"/>
      <c r="J5" s="239"/>
      <c r="K5" s="235" t="s">
        <v>233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42090</v>
      </c>
      <c r="D107" s="34">
        <v>4282.6</v>
      </c>
      <c r="G107" s="229" t="s">
        <v>151</v>
      </c>
      <c r="H107" s="229"/>
      <c r="I107" s="106">
        <f>8909732.21/1000</f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33" t="s">
        <v>234</v>
      </c>
      <c r="H108" s="234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147433239.77/1000</f>
        <v>147433.23977000001</v>
      </c>
      <c r="E109" s="73"/>
      <c r="F109" s="156" t="s">
        <v>147</v>
      </c>
      <c r="G109" s="229" t="s">
        <v>149</v>
      </c>
      <c r="H109" s="229"/>
      <c r="I109" s="107">
        <f>138523507.56/1000</f>
        <v>138523.50756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227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 t="s">
        <v>205</v>
      </c>
      <c r="C3" s="252" t="s">
        <v>0</v>
      </c>
      <c r="D3" s="253" t="s">
        <v>216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221</v>
      </c>
      <c r="N3" s="258" t="s">
        <v>202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199</v>
      </c>
      <c r="F4" s="205" t="s">
        <v>116</v>
      </c>
      <c r="G4" s="207" t="s">
        <v>200</v>
      </c>
      <c r="H4" s="245" t="s">
        <v>201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226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46"/>
      <c r="I5" s="243"/>
      <c r="J5" s="239"/>
      <c r="K5" s="235" t="s">
        <v>224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42060</v>
      </c>
      <c r="D107" s="34">
        <v>1551.3</v>
      </c>
      <c r="G107" s="229" t="s">
        <v>151</v>
      </c>
      <c r="H107" s="229"/>
      <c r="I107" s="106"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66" t="s">
        <v>155</v>
      </c>
      <c r="H108" s="266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138305956.27/1000</f>
        <v>138305.95627000002</v>
      </c>
      <c r="E109" s="73"/>
      <c r="F109" s="156" t="s">
        <v>147</v>
      </c>
      <c r="G109" s="229" t="s">
        <v>149</v>
      </c>
      <c r="H109" s="229"/>
      <c r="I109" s="107">
        <v>129396.23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193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 t="s">
        <v>205</v>
      </c>
      <c r="C3" s="252" t="s">
        <v>0</v>
      </c>
      <c r="D3" s="253" t="s">
        <v>216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220</v>
      </c>
      <c r="N3" s="258" t="s">
        <v>175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219</v>
      </c>
      <c r="F4" s="205" t="s">
        <v>116</v>
      </c>
      <c r="G4" s="207" t="s">
        <v>173</v>
      </c>
      <c r="H4" s="267" t="s">
        <v>174</v>
      </c>
      <c r="I4" s="269" t="s">
        <v>217</v>
      </c>
      <c r="J4" s="272" t="s">
        <v>218</v>
      </c>
      <c r="K4" s="116" t="s">
        <v>172</v>
      </c>
      <c r="L4" s="121" t="s">
        <v>171</v>
      </c>
      <c r="M4" s="238"/>
      <c r="N4" s="240" t="s">
        <v>194</v>
      </c>
      <c r="O4" s="269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68"/>
      <c r="I5" s="270"/>
      <c r="J5" s="273"/>
      <c r="K5" s="235" t="s">
        <v>188</v>
      </c>
      <c r="L5" s="236"/>
      <c r="M5" s="239"/>
      <c r="N5" s="241"/>
      <c r="O5" s="270"/>
      <c r="P5" s="258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7"/>
      <c r="H102" s="237"/>
      <c r="I102" s="237"/>
      <c r="J102" s="237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29" t="s">
        <v>151</v>
      </c>
      <c r="H104" s="229"/>
      <c r="I104" s="106">
        <f>'січень '!I139</f>
        <v>8909.733</v>
      </c>
      <c r="J104" s="271" t="s">
        <v>161</v>
      </c>
      <c r="K104" s="271"/>
      <c r="L104" s="271"/>
      <c r="M104" s="271"/>
      <c r="N104" s="232"/>
      <c r="O104" s="232"/>
    </row>
    <row r="105" spans="3:15" ht="15.75">
      <c r="C105" s="111">
        <v>42032</v>
      </c>
      <c r="D105" s="34">
        <v>2838.1</v>
      </c>
      <c r="G105" s="266" t="s">
        <v>155</v>
      </c>
      <c r="H105" s="266"/>
      <c r="I105" s="103">
        <f>'січень '!I140</f>
        <v>0</v>
      </c>
      <c r="J105" s="274" t="s">
        <v>162</v>
      </c>
      <c r="K105" s="274"/>
      <c r="L105" s="274"/>
      <c r="M105" s="274"/>
      <c r="N105" s="232"/>
      <c r="O105" s="232"/>
    </row>
    <row r="106" spans="7:13" ht="15.75" customHeight="1">
      <c r="G106" s="229" t="s">
        <v>148</v>
      </c>
      <c r="H106" s="229"/>
      <c r="I106" s="103">
        <f>'січень '!I141</f>
        <v>0</v>
      </c>
      <c r="J106" s="271" t="s">
        <v>163</v>
      </c>
      <c r="K106" s="271"/>
      <c r="L106" s="271"/>
      <c r="M106" s="271"/>
    </row>
    <row r="107" spans="2:13" ht="18.75" customHeight="1">
      <c r="B107" s="227" t="s">
        <v>160</v>
      </c>
      <c r="C107" s="228"/>
      <c r="D107" s="108">
        <f>'січень '!D142</f>
        <v>132375.63</v>
      </c>
      <c r="E107" s="73"/>
      <c r="F107" s="156" t="s">
        <v>147</v>
      </c>
      <c r="G107" s="229" t="s">
        <v>149</v>
      </c>
      <c r="H107" s="229"/>
      <c r="I107" s="107">
        <f>'січень '!I142</f>
        <v>123465.893</v>
      </c>
      <c r="J107" s="271" t="s">
        <v>164</v>
      </c>
      <c r="K107" s="271"/>
      <c r="L107" s="271"/>
      <c r="M107" s="271"/>
    </row>
    <row r="108" spans="7:12" ht="9.75" customHeight="1">
      <c r="G108" s="223"/>
      <c r="H108" s="223"/>
      <c r="I108" s="90"/>
      <c r="J108" s="91"/>
      <c r="K108" s="91"/>
      <c r="L108" s="91"/>
    </row>
    <row r="109" spans="2:12" ht="22.5" customHeight="1" hidden="1">
      <c r="B109" s="224" t="s">
        <v>167</v>
      </c>
      <c r="C109" s="225"/>
      <c r="D109" s="110">
        <v>0</v>
      </c>
      <c r="E109" s="70" t="s">
        <v>104</v>
      </c>
      <c r="G109" s="223"/>
      <c r="H109" s="223"/>
      <c r="I109" s="90"/>
      <c r="J109" s="91"/>
      <c r="K109" s="91"/>
      <c r="L109" s="91"/>
    </row>
    <row r="110" spans="4:15" ht="15.75">
      <c r="D110" s="105"/>
      <c r="N110" s="223"/>
      <c r="O110" s="223"/>
    </row>
    <row r="111" spans="4:15" ht="15.75">
      <c r="D111" s="104"/>
      <c r="I111" s="34"/>
      <c r="N111" s="226"/>
      <c r="O111" s="226"/>
    </row>
    <row r="112" spans="14:15" ht="15.75">
      <c r="N112" s="223"/>
      <c r="O112" s="22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47" t="s">
        <v>193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 t="s">
        <v>203</v>
      </c>
      <c r="C3" s="252" t="s">
        <v>0</v>
      </c>
      <c r="D3" s="253" t="s">
        <v>190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187</v>
      </c>
      <c r="N3" s="258" t="s">
        <v>175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153</v>
      </c>
      <c r="F4" s="205" t="s">
        <v>116</v>
      </c>
      <c r="G4" s="207" t="s">
        <v>173</v>
      </c>
      <c r="H4" s="267" t="s">
        <v>174</v>
      </c>
      <c r="I4" s="269" t="s">
        <v>186</v>
      </c>
      <c r="J4" s="272" t="s">
        <v>189</v>
      </c>
      <c r="K4" s="116" t="s">
        <v>172</v>
      </c>
      <c r="L4" s="121" t="s">
        <v>171</v>
      </c>
      <c r="M4" s="238"/>
      <c r="N4" s="240" t="s">
        <v>194</v>
      </c>
      <c r="O4" s="269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68"/>
      <c r="I5" s="270"/>
      <c r="J5" s="273"/>
      <c r="K5" s="235" t="s">
        <v>188</v>
      </c>
      <c r="L5" s="236"/>
      <c r="M5" s="239"/>
      <c r="N5" s="241"/>
      <c r="O5" s="270"/>
      <c r="P5" s="258"/>
      <c r="Q5" s="235" t="s">
        <v>176</v>
      </c>
      <c r="R5" s="236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7"/>
      <c r="H137" s="237"/>
      <c r="I137" s="237"/>
      <c r="J137" s="23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29" t="s">
        <v>151</v>
      </c>
      <c r="H139" s="229"/>
      <c r="I139" s="106">
        <f>8909.733</f>
        <v>8909.733</v>
      </c>
      <c r="J139" s="271" t="s">
        <v>161</v>
      </c>
      <c r="K139" s="271"/>
      <c r="L139" s="271"/>
      <c r="M139" s="271"/>
      <c r="N139" s="232"/>
      <c r="O139" s="232"/>
    </row>
    <row r="140" spans="3:15" ht="15.75">
      <c r="C140" s="111">
        <v>42032</v>
      </c>
      <c r="D140" s="34">
        <v>2838.1</v>
      </c>
      <c r="G140" s="266" t="s">
        <v>155</v>
      </c>
      <c r="H140" s="266"/>
      <c r="I140" s="103">
        <v>0</v>
      </c>
      <c r="J140" s="274" t="s">
        <v>162</v>
      </c>
      <c r="K140" s="274"/>
      <c r="L140" s="274"/>
      <c r="M140" s="274"/>
      <c r="N140" s="232"/>
      <c r="O140" s="232"/>
    </row>
    <row r="141" spans="7:13" ht="15.75" customHeight="1">
      <c r="G141" s="229" t="s">
        <v>148</v>
      </c>
      <c r="H141" s="229"/>
      <c r="I141" s="103">
        <v>0</v>
      </c>
      <c r="J141" s="271" t="s">
        <v>163</v>
      </c>
      <c r="K141" s="271"/>
      <c r="L141" s="271"/>
      <c r="M141" s="271"/>
    </row>
    <row r="142" spans="2:13" ht="18.75" customHeight="1">
      <c r="B142" s="227" t="s">
        <v>160</v>
      </c>
      <c r="C142" s="228"/>
      <c r="D142" s="108">
        <f>132375.63</f>
        <v>132375.63</v>
      </c>
      <c r="E142" s="73"/>
      <c r="F142" s="156" t="s">
        <v>147</v>
      </c>
      <c r="G142" s="229" t="s">
        <v>149</v>
      </c>
      <c r="H142" s="229"/>
      <c r="I142" s="107">
        <f>123465.893</f>
        <v>123465.893</v>
      </c>
      <c r="J142" s="271" t="s">
        <v>164</v>
      </c>
      <c r="K142" s="271"/>
      <c r="L142" s="271"/>
      <c r="M142" s="271"/>
    </row>
    <row r="143" spans="7:12" ht="9.75" customHeight="1">
      <c r="G143" s="223"/>
      <c r="H143" s="223"/>
      <c r="I143" s="90"/>
      <c r="J143" s="91"/>
      <c r="K143" s="91"/>
      <c r="L143" s="91"/>
    </row>
    <row r="144" spans="2:12" ht="22.5" customHeight="1" hidden="1">
      <c r="B144" s="224" t="s">
        <v>167</v>
      </c>
      <c r="C144" s="225"/>
      <c r="D144" s="110">
        <v>0</v>
      </c>
      <c r="E144" s="70" t="s">
        <v>104</v>
      </c>
      <c r="G144" s="223"/>
      <c r="H144" s="223"/>
      <c r="I144" s="90"/>
      <c r="J144" s="91"/>
      <c r="K144" s="91"/>
      <c r="L144" s="91"/>
    </row>
    <row r="145" spans="4:15" ht="15.75">
      <c r="D145" s="105"/>
      <c r="N145" s="223"/>
      <c r="O145" s="223"/>
    </row>
    <row r="146" spans="4:15" ht="15.75">
      <c r="D146" s="104"/>
      <c r="I146" s="34"/>
      <c r="N146" s="226"/>
      <c r="O146" s="226"/>
    </row>
    <row r="147" spans="14:15" ht="15.75">
      <c r="N147" s="223"/>
      <c r="O147" s="22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2015-07-23T07:47:43Z</cp:lastPrinted>
  <dcterms:created xsi:type="dcterms:W3CDTF">2003-07-28T11:27:56Z</dcterms:created>
  <dcterms:modified xsi:type="dcterms:W3CDTF">2015-07-24T07:07:52Z</dcterms:modified>
  <cp:category/>
  <cp:version/>
  <cp:contentType/>
  <cp:contentStatus/>
</cp:coreProperties>
</file>